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15600" windowHeight="5025" tabRatio="850" activeTab="0"/>
  </bookViews>
  <sheets>
    <sheet name="NG WG Flare Combustion" sheetId="1" r:id="rId1"/>
    <sheet name="Reference" sheetId="2" r:id="rId2"/>
  </sheets>
  <definedNames>
    <definedName name="_xlnm.Print_Area" localSheetId="0">'NG WG Flare Combustion'!$A$1:$N$36</definedName>
  </definedNames>
  <calcPr fullCalcOnLoad="1"/>
</workbook>
</file>

<file path=xl/sharedStrings.xml><?xml version="1.0" encoding="utf-8"?>
<sst xmlns="http://schemas.openxmlformats.org/spreadsheetml/2006/main" count="107" uniqueCount="90">
  <si>
    <t>Facility:</t>
  </si>
  <si>
    <t>ID#:</t>
  </si>
  <si>
    <t>Project #:</t>
  </si>
  <si>
    <t>CAS#</t>
  </si>
  <si>
    <t>LB/HR</t>
  </si>
  <si>
    <t>LB/YR</t>
  </si>
  <si>
    <t>Applicability</t>
  </si>
  <si>
    <t>Last Update</t>
  </si>
  <si>
    <t>References:</t>
  </si>
  <si>
    <t>Name</t>
  </si>
  <si>
    <t>Author or updater</t>
  </si>
  <si>
    <t>Inputs</t>
  </si>
  <si>
    <t xml:space="preserve">Formula </t>
  </si>
  <si>
    <t>Acetaldehyde</t>
  </si>
  <si>
    <t>Acrolein</t>
  </si>
  <si>
    <t>Benzene</t>
  </si>
  <si>
    <t>Formaldehyde</t>
  </si>
  <si>
    <t>Toluene</t>
  </si>
  <si>
    <t>Substance</t>
  </si>
  <si>
    <t>Hydrogen sulfide</t>
  </si>
  <si>
    <t>Naphthalene</t>
  </si>
  <si>
    <t>Propylene</t>
  </si>
  <si>
    <t>Cyclohexane</t>
  </si>
  <si>
    <t>Xylenes</t>
  </si>
  <si>
    <t>Destruction Efficiency %</t>
  </si>
  <si>
    <t>Total LB/HR</t>
  </si>
  <si>
    <t>Total LB/YR</t>
  </si>
  <si>
    <t>Ethyl Benzene</t>
  </si>
  <si>
    <t>Hexane</t>
  </si>
  <si>
    <t>PAH's</t>
  </si>
  <si>
    <t>Mol wt</t>
  </si>
  <si>
    <t>Mole Fraction %</t>
  </si>
  <si>
    <t>CAS #</t>
  </si>
  <si>
    <t>Nitrogen</t>
  </si>
  <si>
    <t xml:space="preserve">Methane </t>
  </si>
  <si>
    <t>Carbon Dioxide</t>
  </si>
  <si>
    <t>Ethane</t>
  </si>
  <si>
    <t>Propane</t>
  </si>
  <si>
    <t>Isobutane</t>
  </si>
  <si>
    <t>n-butane</t>
  </si>
  <si>
    <t>n-pentane</t>
  </si>
  <si>
    <t>cyclopentane</t>
  </si>
  <si>
    <t>2-methylpentane</t>
  </si>
  <si>
    <t>3-methylpentane</t>
  </si>
  <si>
    <t>methylcyclopentane</t>
  </si>
  <si>
    <t>benzene</t>
  </si>
  <si>
    <t>cyclohexane</t>
  </si>
  <si>
    <t>n-heptane</t>
  </si>
  <si>
    <t>methylcyclohexane</t>
  </si>
  <si>
    <t>toluene</t>
  </si>
  <si>
    <t>n-octane</t>
  </si>
  <si>
    <t>ethyl benzene</t>
  </si>
  <si>
    <t>o-xylene</t>
  </si>
  <si>
    <t>mercapatans</t>
  </si>
  <si>
    <t>Mole decimal</t>
  </si>
  <si>
    <t>PPM</t>
  </si>
  <si>
    <t>SUM</t>
  </si>
  <si>
    <t>Specific Gravity of Refinery Gas</t>
  </si>
  <si>
    <t>g/M3</t>
  </si>
  <si>
    <t>lbs/MMscf</t>
  </si>
  <si>
    <t>Grams/ Mol</t>
  </si>
  <si>
    <t>Mol/ MMscf</t>
  </si>
  <si>
    <t>lbs/Mol of gas</t>
  </si>
  <si>
    <t>2-Methylbutane (isopentane)</t>
  </si>
  <si>
    <t>p and m xylene (m)</t>
  </si>
  <si>
    <t>lbs/ MMscf</t>
  </si>
  <si>
    <t>Hexane (n-hexane)</t>
  </si>
  <si>
    <t>xylene</t>
  </si>
  <si>
    <t>Hydrogen Sulfide</t>
  </si>
  <si>
    <t>Matthew Cegielski</t>
  </si>
  <si>
    <t>Oilfield Natural Gas-Fired + Waste Gas Flare</t>
  </si>
  <si>
    <t>Specific Gravity of Gas</t>
  </si>
  <si>
    <t>Methane %</t>
  </si>
  <si>
    <t>Flare Gas Methane Rate</t>
  </si>
  <si>
    <t>Uncombusted VOCs Rate</t>
  </si>
  <si>
    <t>Use this spreadsheet for Natural Gas/Waste Gas-Fired Flares at an Oilfield or Refinery where a waste gas stream is being combusted. Entries required in yellow areas, output in grey areas.</t>
  </si>
  <si>
    <t>Substances used for risk assesment and toxics reporting are derived from the top table and listed in the table above, which is linked to the values in the main tab column F.</t>
  </si>
  <si>
    <r>
      <t xml:space="preserve">Following the equation listed in the equation box and tracking the calculation from the </t>
    </r>
    <r>
      <rPr>
        <u val="single"/>
        <sz val="10"/>
        <rFont val="Arial"/>
        <family val="2"/>
      </rPr>
      <t>Specific Gravity Refinery</t>
    </r>
    <r>
      <rPr>
        <sz val="10"/>
        <rFont val="Arial"/>
        <family val="0"/>
      </rPr>
      <t xml:space="preserve"> gas input (linked from cell B9 in the first worksheet), to the right we have the conversion to </t>
    </r>
    <r>
      <rPr>
        <u val="single"/>
        <sz val="10"/>
        <rFont val="Arial"/>
        <family val="2"/>
      </rPr>
      <t>g/M3</t>
    </r>
    <r>
      <rPr>
        <sz val="10"/>
        <rFont val="Arial"/>
        <family val="0"/>
      </rPr>
      <t xml:space="preserve"> (* 1184). Following that to the right we have the conversion to </t>
    </r>
    <r>
      <rPr>
        <u val="single"/>
        <sz val="10"/>
        <rFont val="Arial"/>
        <family val="2"/>
      </rPr>
      <t>lbs/MMsc</t>
    </r>
    <r>
      <rPr>
        <sz val="10"/>
        <rFont val="Arial"/>
        <family val="0"/>
      </rPr>
      <t xml:space="preserve">f based on the multiplication of 3 constants (listed in the equation box). In the </t>
    </r>
    <r>
      <rPr>
        <u val="single"/>
        <sz val="10"/>
        <rFont val="Arial"/>
        <family val="2"/>
      </rPr>
      <t>table above</t>
    </r>
    <r>
      <rPr>
        <sz val="10"/>
        <rFont val="Arial"/>
        <family val="0"/>
      </rPr>
      <t xml:space="preserve"> column F the grams/Mol of each constiuent is deteremined by Mole decimal x Molecular weight. The total of the grams/Mol of the Flare gas is summed up in </t>
    </r>
    <r>
      <rPr>
        <u val="single"/>
        <sz val="10"/>
        <rFont val="Arial"/>
        <family val="2"/>
      </rPr>
      <t>cell F26</t>
    </r>
    <r>
      <rPr>
        <sz val="10"/>
        <rFont val="Arial"/>
        <family val="0"/>
      </rPr>
      <t xml:space="preserve">. In </t>
    </r>
    <r>
      <rPr>
        <u val="single"/>
        <sz val="10"/>
        <rFont val="Arial"/>
        <family val="2"/>
      </rPr>
      <t>cell C33</t>
    </r>
    <r>
      <rPr>
        <sz val="10"/>
        <rFont val="Arial"/>
        <family val="0"/>
      </rPr>
      <t xml:space="preserve"> that value is divided by 453.6 grams/lb to convert into lbs/mol. In </t>
    </r>
    <r>
      <rPr>
        <u val="single"/>
        <sz val="10"/>
        <rFont val="Arial"/>
        <family val="2"/>
      </rPr>
      <t>cell D33</t>
    </r>
    <r>
      <rPr>
        <sz val="10"/>
        <rFont val="Arial"/>
        <family val="0"/>
      </rPr>
      <t xml:space="preserve"> a conversion factor Mol/MMscf for the gas constiuents is calculated by dividing </t>
    </r>
    <r>
      <rPr>
        <u val="single"/>
        <sz val="10"/>
        <rFont val="Arial"/>
        <family val="2"/>
      </rPr>
      <t>cell E30</t>
    </r>
    <r>
      <rPr>
        <sz val="10"/>
        <rFont val="Arial"/>
        <family val="0"/>
      </rPr>
      <t xml:space="preserve"> by </t>
    </r>
    <r>
      <rPr>
        <u val="single"/>
        <sz val="10"/>
        <rFont val="Arial"/>
        <family val="2"/>
      </rPr>
      <t>cell C33</t>
    </r>
    <r>
      <rPr>
        <sz val="10"/>
        <rFont val="Arial"/>
        <family val="0"/>
      </rPr>
      <t xml:space="preserve">. </t>
    </r>
    <r>
      <rPr>
        <u val="single"/>
        <sz val="10"/>
        <rFont val="Arial"/>
        <family val="2"/>
      </rPr>
      <t>In the table above</t>
    </r>
    <r>
      <rPr>
        <sz val="10"/>
        <rFont val="Arial"/>
        <family val="0"/>
      </rPr>
      <t xml:space="preserve"> for column G the following equation is used g/Mol / 453.6 g/lb x 3.87 E 5 Mol/MMscf. The value in </t>
    </r>
    <r>
      <rPr>
        <u val="single"/>
        <sz val="10"/>
        <rFont val="Arial"/>
        <family val="2"/>
      </rPr>
      <t>G26</t>
    </r>
    <r>
      <rPr>
        <sz val="10"/>
        <rFont val="Arial"/>
        <family val="0"/>
      </rPr>
      <t xml:space="preserve"> is a quality check and will equal </t>
    </r>
    <r>
      <rPr>
        <u val="single"/>
        <sz val="10"/>
        <rFont val="Arial"/>
        <family val="2"/>
      </rPr>
      <t>E30</t>
    </r>
    <r>
      <rPr>
        <sz val="10"/>
        <rFont val="Arial"/>
        <family val="0"/>
      </rPr>
      <t xml:space="preserve"> if the table is properly setup.</t>
    </r>
    <r>
      <rPr>
        <u val="single"/>
        <sz val="10"/>
        <rFont val="Arial"/>
        <family val="2"/>
      </rPr>
      <t xml:space="preserve"> In the table above </t>
    </r>
    <r>
      <rPr>
        <sz val="10"/>
        <rFont val="Arial"/>
        <family val="0"/>
      </rPr>
      <t xml:space="preserve"> column C can be used to enter custom values (mole fraction) for the waste gas. Cell C26 should equal 100, if the custom values are properly accounted for.   </t>
    </r>
  </si>
  <si>
    <t>Flare Rate</t>
  </si>
  <si>
    <t xml:space="preserve"> MMscf/yr</t>
  </si>
  <si>
    <t>MMscf/hr</t>
  </si>
  <si>
    <t>MMscf/yr</t>
  </si>
  <si>
    <t xml:space="preserve"> MMscf/hr</t>
  </si>
  <si>
    <t>Flare Gas Methane Combustion Emission Factor           lbs/ MMscf*</t>
  </si>
  <si>
    <t>Refinery Gas Composition Emission Factor           lbs/ MMscf**</t>
  </si>
  <si>
    <t xml:space="preserve"> Emissions are the result of combustion plus the pass through of uncombusted VOCs. Emissions are determined by the multiplication of Process Rates and Emission Factors. Enter the Destruction efficiency as a whole number. Default is 98. Enter specific gravity of gas as a decimal. Default is 0.45 Enter the % methane as a whole number. Flare gas assumed to be 100% as a worst case if value is unknown. Waste gas characterization defaults are listed on the Reference tab and can be modified by changing the mole fraction values if so desired.   </t>
  </si>
  <si>
    <r>
      <t xml:space="preserve">* The emission factors are from the flare column in the table, "Natural Gas Fired External Combustion Equipment", in the May 2001 update of </t>
    </r>
    <r>
      <rPr>
        <i/>
        <sz val="10"/>
        <rFont val="Arial"/>
        <family val="2"/>
      </rPr>
      <t>VCAPCD AB 2588 Combustion Emission Factors</t>
    </r>
  </si>
  <si>
    <r>
      <t xml:space="preserve">** The emission factors are derived from Table 1, "Gas analysis from Laboratory Services, Hobbs, New Mexico" (page 19) in the 2005 Report, </t>
    </r>
    <r>
      <rPr>
        <i/>
        <sz val="10"/>
        <rFont val="Arial"/>
        <family val="2"/>
      </rPr>
      <t>FINAL REPORT Test of TDA's Direct Oxidation Process for Sulfur Recovery.</t>
    </r>
    <r>
      <rPr>
        <sz val="10"/>
        <rFont val="Arial"/>
        <family val="2"/>
      </rPr>
      <t xml:space="preserve"> </t>
    </r>
  </si>
  <si>
    <t>Pollutants required for toxic reporting: TACs w/o Risk Factor.   Current as of update date.</t>
  </si>
  <si>
    <t>Non - TACs Current as of update 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</si>
</sst>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s>
  <fonts count="45">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8"/>
      <name val="Arial"/>
      <family val="2"/>
    </font>
    <font>
      <b/>
      <sz val="9"/>
      <name val="Arial"/>
      <family val="2"/>
    </font>
    <font>
      <b/>
      <sz val="16"/>
      <name val="Arial"/>
      <family val="2"/>
    </font>
    <font>
      <u val="single"/>
      <sz val="10"/>
      <name val="Arial"/>
      <family val="2"/>
    </font>
    <font>
      <sz val="12"/>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55"/>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19" xfId="0" applyBorder="1" applyAlignment="1">
      <alignment/>
    </xf>
    <xf numFmtId="0" fontId="0" fillId="0" borderId="20"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1" xfId="0" applyFont="1" applyBorder="1" applyAlignment="1">
      <alignment/>
    </xf>
    <xf numFmtId="0" fontId="3" fillId="0" borderId="15" xfId="0" applyFont="1" applyBorder="1" applyAlignment="1">
      <alignment horizontal="center" vertical="center"/>
    </xf>
    <xf numFmtId="0" fontId="5" fillId="0" borderId="0" xfId="0" applyFont="1" applyAlignment="1">
      <alignment/>
    </xf>
    <xf numFmtId="0" fontId="0" fillId="0" borderId="22" xfId="0" applyFill="1" applyBorder="1" applyAlignment="1">
      <alignment/>
    </xf>
    <xf numFmtId="0" fontId="0" fillId="0" borderId="22" xfId="0" applyNumberFormat="1" applyFill="1" applyBorder="1" applyAlignment="1">
      <alignment horizontal="center"/>
    </xf>
    <xf numFmtId="11" fontId="0" fillId="0" borderId="0" xfId="0" applyNumberFormat="1" applyFill="1" applyBorder="1" applyAlignment="1">
      <alignment/>
    </xf>
    <xf numFmtId="0" fontId="3" fillId="0" borderId="23" xfId="0" applyFont="1" applyBorder="1" applyAlignment="1">
      <alignment horizontal="center" wrapText="1"/>
    </xf>
    <xf numFmtId="11" fontId="0" fillId="33" borderId="22" xfId="0" applyNumberFormat="1" applyFill="1" applyBorder="1" applyAlignment="1">
      <alignment horizontal="center"/>
    </xf>
    <xf numFmtId="11" fontId="0" fillId="0" borderId="23" xfId="0" applyNumberFormat="1" applyBorder="1" applyAlignment="1">
      <alignment horizontal="center"/>
    </xf>
    <xf numFmtId="0" fontId="3" fillId="0" borderId="11" xfId="0" applyFont="1" applyBorder="1" applyAlignment="1">
      <alignment wrapText="1"/>
    </xf>
    <xf numFmtId="11" fontId="0" fillId="34" borderId="10" xfId="0" applyNumberFormat="1" applyFill="1" applyBorder="1" applyAlignment="1">
      <alignment horizontal="center"/>
    </xf>
    <xf numFmtId="0" fontId="3" fillId="0" borderId="24" xfId="0" applyFont="1" applyBorder="1" applyAlignment="1">
      <alignment wrapText="1"/>
    </xf>
    <xf numFmtId="11" fontId="0" fillId="34" borderId="25" xfId="0" applyNumberFormat="1" applyFill="1" applyBorder="1" applyAlignment="1">
      <alignment horizontal="center"/>
    </xf>
    <xf numFmtId="11" fontId="0" fillId="0" borderId="0" xfId="0" applyNumberFormat="1" applyAlignment="1">
      <alignment horizontal="center"/>
    </xf>
    <xf numFmtId="11" fontId="0" fillId="0" borderId="11" xfId="0" applyNumberFormat="1" applyBorder="1" applyAlignment="1">
      <alignment horizontal="center"/>
    </xf>
    <xf numFmtId="11" fontId="0" fillId="0" borderId="24" xfId="0" applyNumberFormat="1" applyBorder="1" applyAlignment="1">
      <alignment horizontal="center"/>
    </xf>
    <xf numFmtId="11" fontId="0" fillId="34" borderId="0" xfId="0" applyNumberFormat="1" applyFill="1" applyAlignment="1">
      <alignment/>
    </xf>
    <xf numFmtId="0" fontId="3" fillId="0" borderId="26" xfId="0" applyFont="1" applyBorder="1" applyAlignment="1">
      <alignment horizontal="left" wrapText="1"/>
    </xf>
    <xf numFmtId="11" fontId="0" fillId="34" borderId="19" xfId="0" applyNumberFormat="1" applyFill="1" applyBorder="1" applyAlignment="1">
      <alignment horizontal="center"/>
    </xf>
    <xf numFmtId="11" fontId="0" fillId="34" borderId="0" xfId="0" applyNumberFormat="1" applyFill="1" applyAlignment="1">
      <alignment horizontal="center"/>
    </xf>
    <xf numFmtId="11" fontId="0" fillId="34" borderId="0" xfId="0" applyNumberFormat="1" applyFill="1" applyBorder="1" applyAlignment="1">
      <alignment horizontal="center"/>
    </xf>
    <xf numFmtId="11" fontId="0" fillId="34" borderId="23" xfId="0" applyNumberFormat="1" applyFill="1" applyBorder="1" applyAlignment="1">
      <alignment horizontal="center"/>
    </xf>
    <xf numFmtId="11" fontId="0" fillId="34" borderId="27" xfId="0" applyNumberFormat="1" applyFill="1" applyBorder="1" applyAlignment="1">
      <alignment horizontal="center"/>
    </xf>
    <xf numFmtId="0" fontId="0" fillId="0" borderId="0" xfId="0" applyAlignment="1">
      <alignment horizontal="center" wrapText="1"/>
    </xf>
    <xf numFmtId="0" fontId="0" fillId="35" borderId="0" xfId="0" applyFill="1" applyAlignment="1">
      <alignment horizontal="center"/>
    </xf>
    <xf numFmtId="0" fontId="0" fillId="36" borderId="0" xfId="0" applyFill="1" applyAlignment="1">
      <alignment horizontal="center"/>
    </xf>
    <xf numFmtId="0" fontId="0" fillId="33" borderId="0" xfId="0" applyFill="1" applyAlignment="1">
      <alignment horizontal="center"/>
    </xf>
    <xf numFmtId="0" fontId="3" fillId="0" borderId="0" xfId="0" applyFont="1" applyAlignment="1">
      <alignment horizontal="center"/>
    </xf>
    <xf numFmtId="0" fontId="3" fillId="36" borderId="0" xfId="0" applyFont="1" applyFill="1" applyAlignment="1">
      <alignment horizontal="center"/>
    </xf>
    <xf numFmtId="11" fontId="0" fillId="34" borderId="22" xfId="0" applyNumberFormat="1" applyFill="1" applyBorder="1" applyAlignment="1">
      <alignment horizontal="center"/>
    </xf>
    <xf numFmtId="0" fontId="3" fillId="36" borderId="0" xfId="0" applyFont="1" applyFill="1" applyAlignment="1">
      <alignment horizontal="left"/>
    </xf>
    <xf numFmtId="0" fontId="0" fillId="0" borderId="26" xfId="0" applyBorder="1" applyAlignment="1">
      <alignment horizontal="center"/>
    </xf>
    <xf numFmtId="0" fontId="0" fillId="0" borderId="11" xfId="0" applyBorder="1" applyAlignment="1">
      <alignment horizontal="center"/>
    </xf>
    <xf numFmtId="11" fontId="0" fillId="37" borderId="26" xfId="0" applyNumberFormat="1" applyFill="1" applyBorder="1" applyAlignment="1">
      <alignment horizontal="center"/>
    </xf>
    <xf numFmtId="11" fontId="0" fillId="37" borderId="11" xfId="0" applyNumberFormat="1" applyFill="1" applyBorder="1" applyAlignment="1">
      <alignment horizontal="center"/>
    </xf>
    <xf numFmtId="11" fontId="0" fillId="37" borderId="24" xfId="0" applyNumberFormat="1" applyFill="1" applyBorder="1" applyAlignment="1">
      <alignment horizontal="center"/>
    </xf>
    <xf numFmtId="11" fontId="0" fillId="37" borderId="27" xfId="0" applyNumberFormat="1" applyFill="1" applyBorder="1" applyAlignment="1">
      <alignment horizontal="center"/>
    </xf>
    <xf numFmtId="11" fontId="0" fillId="37" borderId="10" xfId="0" applyNumberFormat="1" applyFill="1" applyBorder="1" applyAlignment="1">
      <alignment horizontal="center"/>
    </xf>
    <xf numFmtId="11" fontId="0" fillId="37" borderId="25" xfId="0" applyNumberFormat="1" applyFill="1" applyBorder="1" applyAlignment="1">
      <alignment horizontal="center"/>
    </xf>
    <xf numFmtId="0" fontId="0" fillId="34" borderId="0" xfId="0" applyFill="1" applyAlignment="1">
      <alignment horizontal="center"/>
    </xf>
    <xf numFmtId="11" fontId="0" fillId="38" borderId="0" xfId="0" applyNumberFormat="1" applyFill="1" applyAlignment="1">
      <alignment horizontal="center"/>
    </xf>
    <xf numFmtId="2" fontId="0" fillId="33" borderId="28" xfId="0" applyNumberFormat="1" applyFill="1" applyBorder="1" applyAlignment="1">
      <alignment horizontal="center"/>
    </xf>
    <xf numFmtId="0" fontId="0" fillId="0" borderId="28" xfId="0" applyNumberFormat="1" applyFill="1" applyBorder="1" applyAlignment="1">
      <alignment horizontal="center"/>
    </xf>
    <xf numFmtId="0" fontId="0" fillId="0" borderId="22" xfId="0" applyBorder="1" applyAlignment="1">
      <alignment horizontal="center" wrapText="1"/>
    </xf>
    <xf numFmtId="2" fontId="0" fillId="33" borderId="22" xfId="0" applyNumberFormat="1" applyFill="1" applyBorder="1" applyAlignment="1">
      <alignment horizontal="center"/>
    </xf>
    <xf numFmtId="0" fontId="0" fillId="37" borderId="0" xfId="0" applyFill="1" applyAlignment="1">
      <alignment horizontal="center"/>
    </xf>
    <xf numFmtId="0" fontId="0" fillId="38" borderId="0" xfId="0" applyFill="1" applyAlignment="1">
      <alignment horizontal="center"/>
    </xf>
    <xf numFmtId="2" fontId="0" fillId="38" borderId="0" xfId="0" applyNumberFormat="1" applyFill="1" applyAlignment="1">
      <alignment/>
    </xf>
    <xf numFmtId="2" fontId="0" fillId="34" borderId="0" xfId="0" applyNumberFormat="1" applyFill="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21" xfId="0" applyBorder="1" applyAlignment="1">
      <alignment horizontal="center" vertical="center" wrapText="1"/>
    </xf>
    <xf numFmtId="4" fontId="0" fillId="33" borderId="22" xfId="0" applyNumberFormat="1" applyFill="1" applyBorder="1" applyAlignment="1">
      <alignment horizontal="center"/>
    </xf>
    <xf numFmtId="4" fontId="0" fillId="34" borderId="28" xfId="0" applyNumberFormat="1" applyFill="1" applyBorder="1" applyAlignment="1">
      <alignment horizontal="center" wrapText="1"/>
    </xf>
    <xf numFmtId="11" fontId="0" fillId="0" borderId="11" xfId="0" applyNumberFormat="1" applyBorder="1" applyAlignment="1">
      <alignment horizontal="center" vertical="center"/>
    </xf>
    <xf numFmtId="0" fontId="0" fillId="0" borderId="0" xfId="0" applyAlignment="1">
      <alignment vertical="center"/>
    </xf>
    <xf numFmtId="11" fontId="0" fillId="34" borderId="28" xfId="0" applyNumberFormat="1" applyFill="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2" xfId="0" applyFont="1" applyFill="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Font="1" applyBorder="1" applyAlignment="1">
      <alignment horizontal="center" vertic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5" fillId="0" borderId="23" xfId="0" applyFont="1" applyBorder="1" applyAlignment="1">
      <alignment horizontal="center"/>
    </xf>
    <xf numFmtId="0" fontId="5" fillId="0" borderId="23" xfId="0" applyFont="1" applyBorder="1" applyAlignment="1">
      <alignment/>
    </xf>
    <xf numFmtId="0" fontId="5" fillId="0" borderId="25" xfId="0" applyFont="1" applyBorder="1" applyAlignment="1">
      <alignment/>
    </xf>
    <xf numFmtId="0" fontId="0" fillId="0" borderId="30" xfId="0" applyBorder="1" applyAlignment="1">
      <alignment wrapText="1"/>
    </xf>
    <xf numFmtId="0" fontId="0" fillId="0" borderId="31" xfId="0" applyBorder="1" applyAlignment="1">
      <alignment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36" borderId="16" xfId="0" applyFill="1" applyBorder="1" applyAlignment="1">
      <alignment horizontal="center"/>
    </xf>
    <xf numFmtId="0" fontId="0" fillId="0" borderId="16" xfId="0" applyBorder="1" applyAlignment="1">
      <alignment/>
    </xf>
    <xf numFmtId="171" fontId="0" fillId="36" borderId="16" xfId="0" applyNumberFormat="1" applyFill="1" applyBorder="1" applyAlignment="1">
      <alignment horizontal="center"/>
    </xf>
    <xf numFmtId="0" fontId="8"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6" borderId="41" xfId="0" applyFont="1" applyFill="1" applyBorder="1" applyAlignment="1">
      <alignment vertical="center" wrapText="1"/>
    </xf>
    <xf numFmtId="0" fontId="0" fillId="36" borderId="42" xfId="0" applyFill="1" applyBorder="1" applyAlignment="1">
      <alignment vertical="center"/>
    </xf>
    <xf numFmtId="0" fontId="0" fillId="36" borderId="43" xfId="0" applyFill="1" applyBorder="1" applyAlignment="1">
      <alignment vertical="center"/>
    </xf>
    <xf numFmtId="0" fontId="0" fillId="0" borderId="0" xfId="0" applyAlignment="1">
      <alignment horizontal="left" vertical="top" wrapText="1"/>
    </xf>
    <xf numFmtId="0" fontId="0" fillId="0" borderId="35" xfId="0" applyFont="1"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35" borderId="41" xfId="0" applyFont="1" applyFill="1" applyBorder="1" applyAlignment="1">
      <alignment wrapText="1"/>
    </xf>
    <xf numFmtId="0" fontId="0" fillId="35" borderId="42"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6" borderId="41" xfId="57" applyFont="1" applyFill="1" applyBorder="1" applyAlignment="1">
      <alignment wrapText="1"/>
      <protection/>
    </xf>
    <xf numFmtId="0" fontId="10" fillId="36" borderId="42" xfId="57" applyFill="1" applyBorder="1" applyAlignment="1">
      <alignment/>
      <protection/>
    </xf>
    <xf numFmtId="0" fontId="10" fillId="36" borderId="43" xfId="57" applyFill="1" applyBorder="1" applyAlignment="1">
      <alignment/>
      <protection/>
    </xf>
    <xf numFmtId="0" fontId="3" fillId="0" borderId="0" xfId="0" applyFont="1" applyFill="1" applyBorder="1" applyAlignment="1">
      <alignment horizontal="center" wrapText="1"/>
    </xf>
    <xf numFmtId="0" fontId="0" fillId="0" borderId="0" xfId="0" applyFill="1" applyBorder="1" applyAlignment="1">
      <alignment horizontal="center" wrapText="1"/>
    </xf>
    <xf numFmtId="11" fontId="0" fillId="0" borderId="0" xfId="0" applyNumberFormat="1" applyFill="1" applyBorder="1" applyAlignment="1">
      <alignment horizontal="center" vertical="center"/>
    </xf>
    <xf numFmtId="0" fontId="7" fillId="0" borderId="11"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2.28125" style="11" customWidth="1"/>
    <col min="3" max="13" width="12.28125" style="0" customWidth="1"/>
  </cols>
  <sheetData>
    <row r="1" spans="1:7" ht="18.75" thickBot="1">
      <c r="A1" s="25" t="s">
        <v>9</v>
      </c>
      <c r="B1" s="102" t="s">
        <v>70</v>
      </c>
      <c r="C1" s="103"/>
      <c r="D1" s="103"/>
      <c r="E1" s="103"/>
      <c r="F1" s="103"/>
      <c r="G1" s="104"/>
    </row>
    <row r="2" spans="1:7" ht="41.25" customHeight="1" thickBot="1">
      <c r="A2" s="24" t="s">
        <v>6</v>
      </c>
      <c r="B2" s="109" t="s">
        <v>75</v>
      </c>
      <c r="C2" s="110"/>
      <c r="D2" s="110"/>
      <c r="E2" s="110"/>
      <c r="F2" s="110"/>
      <c r="G2" s="111"/>
    </row>
    <row r="3" spans="1:7" ht="13.5" thickBot="1">
      <c r="A3" s="12" t="s">
        <v>10</v>
      </c>
      <c r="B3" s="112" t="s">
        <v>69</v>
      </c>
      <c r="C3" s="113"/>
      <c r="D3" s="13" t="s">
        <v>7</v>
      </c>
      <c r="E3" s="114">
        <v>43319</v>
      </c>
      <c r="F3" s="114"/>
      <c r="G3" s="14"/>
    </row>
    <row r="4" spans="1:7" ht="12.75">
      <c r="A4" s="3" t="s">
        <v>0</v>
      </c>
      <c r="B4" s="21"/>
      <c r="C4" s="21"/>
      <c r="D4" s="21"/>
      <c r="E4" s="1"/>
      <c r="F4" s="1"/>
      <c r="G4" s="2"/>
    </row>
    <row r="5" spans="1:7" ht="12.75">
      <c r="A5" s="3" t="s">
        <v>1</v>
      </c>
      <c r="B5" s="21"/>
      <c r="C5" s="21"/>
      <c r="D5" s="21"/>
      <c r="E5" s="1"/>
      <c r="F5" s="1"/>
      <c r="G5" s="2"/>
    </row>
    <row r="6" spans="1:7" ht="13.5" thickBot="1">
      <c r="A6" s="4" t="s">
        <v>2</v>
      </c>
      <c r="B6" s="22"/>
      <c r="C6" s="22"/>
      <c r="D6" s="22"/>
      <c r="E6" s="5"/>
      <c r="F6" s="5"/>
      <c r="G6" s="6"/>
    </row>
    <row r="7" spans="1:7" ht="16.5" customHeight="1" thickBot="1" thickTop="1">
      <c r="A7" s="23" t="s">
        <v>11</v>
      </c>
      <c r="B7" s="75" t="s">
        <v>80</v>
      </c>
      <c r="C7" s="75" t="s">
        <v>81</v>
      </c>
      <c r="D7" s="115" t="s">
        <v>12</v>
      </c>
      <c r="E7" s="116"/>
      <c r="F7" s="116"/>
      <c r="G7" s="117"/>
    </row>
    <row r="8" spans="1:7" ht="16.5" customHeight="1" thickBot="1">
      <c r="A8" s="26" t="s">
        <v>78</v>
      </c>
      <c r="B8" s="30">
        <v>1</v>
      </c>
      <c r="C8" s="76">
        <v>1000</v>
      </c>
      <c r="D8" s="87" t="s">
        <v>85</v>
      </c>
      <c r="E8" s="88"/>
      <c r="F8" s="88"/>
      <c r="G8" s="89"/>
    </row>
    <row r="9" spans="1:7" ht="16.5" customHeight="1" thickBot="1">
      <c r="A9" s="26" t="s">
        <v>71</v>
      </c>
      <c r="B9" s="67">
        <v>0.45</v>
      </c>
      <c r="C9" s="27"/>
      <c r="D9" s="90"/>
      <c r="E9" s="91"/>
      <c r="F9" s="91"/>
      <c r="G9" s="92"/>
    </row>
    <row r="10" spans="1:7" ht="16.5" customHeight="1" thickBot="1">
      <c r="A10" s="26" t="s">
        <v>24</v>
      </c>
      <c r="B10" s="64">
        <v>98</v>
      </c>
      <c r="C10" s="65"/>
      <c r="D10" s="90"/>
      <c r="E10" s="91"/>
      <c r="F10" s="91"/>
      <c r="G10" s="92"/>
    </row>
    <row r="11" spans="1:7" ht="16.5" customHeight="1" thickBot="1">
      <c r="A11" s="26" t="s">
        <v>72</v>
      </c>
      <c r="B11" s="64">
        <v>100</v>
      </c>
      <c r="C11" s="65"/>
      <c r="D11" s="90"/>
      <c r="E11" s="91"/>
      <c r="F11" s="91"/>
      <c r="G11" s="92"/>
    </row>
    <row r="12" spans="1:7" ht="16.5" customHeight="1" thickBot="1">
      <c r="A12" s="26"/>
      <c r="B12" s="66" t="s">
        <v>82</v>
      </c>
      <c r="C12" s="66" t="s">
        <v>79</v>
      </c>
      <c r="D12" s="90"/>
      <c r="E12" s="91"/>
      <c r="F12" s="91"/>
      <c r="G12" s="92"/>
    </row>
    <row r="13" spans="1:7" ht="16.5" customHeight="1" thickBot="1">
      <c r="A13" s="26" t="s">
        <v>73</v>
      </c>
      <c r="B13" s="80">
        <f>B8*($B$11/100)</f>
        <v>1</v>
      </c>
      <c r="C13" s="77">
        <f>C8*($B$11/100)</f>
        <v>1000</v>
      </c>
      <c r="D13" s="90"/>
      <c r="E13" s="91"/>
      <c r="F13" s="91"/>
      <c r="G13" s="92"/>
    </row>
    <row r="14" spans="1:7" ht="16.5" customHeight="1" thickBot="1">
      <c r="A14" s="26"/>
      <c r="B14" s="66" t="s">
        <v>82</v>
      </c>
      <c r="C14" s="66" t="s">
        <v>81</v>
      </c>
      <c r="D14" s="90"/>
      <c r="E14" s="91"/>
      <c r="F14" s="91"/>
      <c r="G14" s="92"/>
    </row>
    <row r="15" spans="1:7" ht="16.5" customHeight="1" thickBot="1">
      <c r="A15" s="26" t="s">
        <v>74</v>
      </c>
      <c r="B15" s="52">
        <f>B8*(1-B10/100)</f>
        <v>0.020000000000000018</v>
      </c>
      <c r="C15" s="52">
        <f>C8*(1-B10/100)</f>
        <v>20.000000000000018</v>
      </c>
      <c r="D15" s="93"/>
      <c r="E15" s="94"/>
      <c r="F15" s="94"/>
      <c r="G15" s="95"/>
    </row>
    <row r="16" spans="1:13" ht="16.5" customHeight="1">
      <c r="A16" s="81" t="s">
        <v>18</v>
      </c>
      <c r="B16" s="81" t="s">
        <v>3</v>
      </c>
      <c r="C16" s="99" t="s">
        <v>83</v>
      </c>
      <c r="D16" s="81" t="s">
        <v>4</v>
      </c>
      <c r="E16" s="84" t="s">
        <v>5</v>
      </c>
      <c r="F16" s="99" t="s">
        <v>84</v>
      </c>
      <c r="G16" s="81" t="s">
        <v>4</v>
      </c>
      <c r="H16" s="84" t="s">
        <v>5</v>
      </c>
      <c r="I16" s="81" t="s">
        <v>25</v>
      </c>
      <c r="J16" s="84" t="s">
        <v>26</v>
      </c>
      <c r="K16" s="141"/>
      <c r="L16" s="138"/>
      <c r="M16" s="138"/>
    </row>
    <row r="17" spans="1:13" ht="13.5" customHeight="1">
      <c r="A17" s="105"/>
      <c r="B17" s="107"/>
      <c r="C17" s="100"/>
      <c r="D17" s="82"/>
      <c r="E17" s="85"/>
      <c r="F17" s="100"/>
      <c r="G17" s="82"/>
      <c r="H17" s="85"/>
      <c r="I17" s="82"/>
      <c r="J17" s="85"/>
      <c r="K17" s="141"/>
      <c r="L17" s="138"/>
      <c r="M17" s="139"/>
    </row>
    <row r="18" spans="1:13" ht="13.5" customHeight="1">
      <c r="A18" s="105"/>
      <c r="B18" s="107"/>
      <c r="C18" s="100"/>
      <c r="D18" s="82"/>
      <c r="E18" s="85"/>
      <c r="F18" s="100"/>
      <c r="G18" s="82"/>
      <c r="H18" s="85"/>
      <c r="I18" s="82"/>
      <c r="J18" s="85"/>
      <c r="K18" s="141"/>
      <c r="L18" s="138"/>
      <c r="M18" s="139"/>
    </row>
    <row r="19" spans="1:13" ht="30.75" customHeight="1">
      <c r="A19" s="106"/>
      <c r="B19" s="108"/>
      <c r="C19" s="101"/>
      <c r="D19" s="83"/>
      <c r="E19" s="86"/>
      <c r="F19" s="101"/>
      <c r="G19" s="83"/>
      <c r="H19" s="86"/>
      <c r="I19" s="83"/>
      <c r="J19" s="86"/>
      <c r="K19" s="141"/>
      <c r="L19" s="138"/>
      <c r="M19" s="139"/>
    </row>
    <row r="20" spans="1:13" ht="12.75">
      <c r="A20" s="40" t="s">
        <v>13</v>
      </c>
      <c r="B20" s="17">
        <v>75070</v>
      </c>
      <c r="C20" s="36">
        <v>0.043</v>
      </c>
      <c r="D20" s="42">
        <f>$B$13*C20</f>
        <v>0.043</v>
      </c>
      <c r="E20" s="45">
        <f>$C$13*C20</f>
        <v>43</v>
      </c>
      <c r="F20" s="54">
        <v>0</v>
      </c>
      <c r="G20" s="41">
        <f>$B$15*F20</f>
        <v>0</v>
      </c>
      <c r="H20" s="45">
        <f>$C$15*F20</f>
        <v>0</v>
      </c>
      <c r="I20" s="56">
        <f>D20+G20</f>
        <v>0.043</v>
      </c>
      <c r="J20" s="59">
        <f>E20+H20</f>
        <v>43</v>
      </c>
      <c r="K20" s="78"/>
      <c r="L20" s="140"/>
      <c r="M20" s="140"/>
    </row>
    <row r="21" spans="1:13" ht="12.75">
      <c r="A21" s="32" t="s">
        <v>14</v>
      </c>
      <c r="B21" s="7">
        <v>107028</v>
      </c>
      <c r="C21" s="36">
        <v>0.01</v>
      </c>
      <c r="D21" s="42">
        <f aca="true" t="shared" si="0" ref="D21:D32">$B$13*C21</f>
        <v>0.01</v>
      </c>
      <c r="E21" s="33">
        <f aca="true" t="shared" si="1" ref="E21:E32">$C$13*C21</f>
        <v>10</v>
      </c>
      <c r="F21" s="55">
        <v>0</v>
      </c>
      <c r="G21" s="43">
        <f aca="true" t="shared" si="2" ref="G21:G32">$B$15*F21</f>
        <v>0</v>
      </c>
      <c r="H21" s="33">
        <f aca="true" t="shared" si="3" ref="H21:H32">$C$15*F21</f>
        <v>0</v>
      </c>
      <c r="I21" s="57">
        <f aca="true" t="shared" si="4" ref="I21:I32">D21+G21</f>
        <v>0.01</v>
      </c>
      <c r="J21" s="60">
        <f aca="true" t="shared" si="5" ref="J21:J32">E21+H21</f>
        <v>10</v>
      </c>
      <c r="K21" s="78"/>
      <c r="L21" s="140"/>
      <c r="M21" s="140"/>
    </row>
    <row r="22" spans="1:13" ht="12.75">
      <c r="A22" s="32" t="s">
        <v>15</v>
      </c>
      <c r="B22" s="7">
        <v>71432</v>
      </c>
      <c r="C22" s="36">
        <v>0.159</v>
      </c>
      <c r="D22" s="42">
        <f t="shared" si="0"/>
        <v>0.159</v>
      </c>
      <c r="E22" s="33">
        <f t="shared" si="1"/>
        <v>159</v>
      </c>
      <c r="F22" s="37">
        <f>Reference!$C$42</f>
        <v>140.52006598676243</v>
      </c>
      <c r="G22" s="43">
        <f t="shared" si="2"/>
        <v>2.8104013197352513</v>
      </c>
      <c r="H22" s="33">
        <f t="shared" si="3"/>
        <v>2810.401319735251</v>
      </c>
      <c r="I22" s="57">
        <f t="shared" si="4"/>
        <v>2.969401319735251</v>
      </c>
      <c r="J22" s="60">
        <f t="shared" si="5"/>
        <v>2969.401319735251</v>
      </c>
      <c r="K22" s="78"/>
      <c r="L22" s="140"/>
      <c r="M22" s="140"/>
    </row>
    <row r="23" spans="1:13" ht="12.75">
      <c r="A23" s="53" t="s">
        <v>22</v>
      </c>
      <c r="B23" s="51">
        <v>110827</v>
      </c>
      <c r="C23" s="36">
        <v>0</v>
      </c>
      <c r="D23" s="42">
        <f t="shared" si="0"/>
        <v>0</v>
      </c>
      <c r="E23" s="33">
        <f t="shared" si="1"/>
        <v>0</v>
      </c>
      <c r="F23" s="37">
        <f>Reference!$C$43</f>
        <v>122.02763157256815</v>
      </c>
      <c r="G23" s="43">
        <f t="shared" si="2"/>
        <v>2.4405526314513653</v>
      </c>
      <c r="H23" s="33">
        <f t="shared" si="3"/>
        <v>2440.5526314513654</v>
      </c>
      <c r="I23" s="57">
        <f t="shared" si="4"/>
        <v>2.4405526314513653</v>
      </c>
      <c r="J23" s="60">
        <f t="shared" si="5"/>
        <v>2440.5526314513654</v>
      </c>
      <c r="K23" s="78"/>
      <c r="L23" s="140"/>
      <c r="M23" s="140"/>
    </row>
    <row r="24" spans="1:13" ht="12.75">
      <c r="A24" s="32" t="s">
        <v>27</v>
      </c>
      <c r="B24" s="7">
        <v>100414</v>
      </c>
      <c r="C24" s="36">
        <v>1.444</v>
      </c>
      <c r="D24" s="42">
        <f t="shared" si="0"/>
        <v>1.444</v>
      </c>
      <c r="E24" s="33">
        <f t="shared" si="1"/>
        <v>1444</v>
      </c>
      <c r="F24" s="37">
        <f>Reference!$C$44</f>
        <v>2.6287682075266057</v>
      </c>
      <c r="G24" s="43">
        <f t="shared" si="2"/>
        <v>0.05257536415053216</v>
      </c>
      <c r="H24" s="33">
        <f t="shared" si="3"/>
        <v>52.57536415053216</v>
      </c>
      <c r="I24" s="57">
        <f t="shared" si="4"/>
        <v>1.4965753641505322</v>
      </c>
      <c r="J24" s="60">
        <f t="shared" si="5"/>
        <v>1496.575364150532</v>
      </c>
      <c r="K24" s="78"/>
      <c r="L24" s="140"/>
      <c r="M24" s="140"/>
    </row>
    <row r="25" spans="1:13" ht="12.75">
      <c r="A25" s="32" t="s">
        <v>16</v>
      </c>
      <c r="B25" s="7">
        <v>50000</v>
      </c>
      <c r="C25" s="36">
        <v>1.169</v>
      </c>
      <c r="D25" s="42">
        <f t="shared" si="0"/>
        <v>1.169</v>
      </c>
      <c r="E25" s="33">
        <f t="shared" si="1"/>
        <v>1169</v>
      </c>
      <c r="F25" s="55">
        <v>0</v>
      </c>
      <c r="G25" s="43">
        <f t="shared" si="2"/>
        <v>0</v>
      </c>
      <c r="H25" s="33">
        <f t="shared" si="3"/>
        <v>0</v>
      </c>
      <c r="I25" s="57">
        <f t="shared" si="4"/>
        <v>1.169</v>
      </c>
      <c r="J25" s="60">
        <f t="shared" si="5"/>
        <v>1169</v>
      </c>
      <c r="K25" s="78"/>
      <c r="L25" s="140"/>
      <c r="M25" s="140"/>
    </row>
    <row r="26" spans="1:13" ht="12.75">
      <c r="A26" s="32" t="s">
        <v>28</v>
      </c>
      <c r="B26" s="7">
        <v>110543</v>
      </c>
      <c r="C26" s="36">
        <v>0.029</v>
      </c>
      <c r="D26" s="42">
        <f t="shared" si="0"/>
        <v>0.029</v>
      </c>
      <c r="E26" s="33">
        <f t="shared" si="1"/>
        <v>29</v>
      </c>
      <c r="F26" s="37">
        <f>Reference!$C$45</f>
        <v>195.60223699547706</v>
      </c>
      <c r="G26" s="43">
        <f t="shared" si="2"/>
        <v>3.9120447399095446</v>
      </c>
      <c r="H26" s="33">
        <f t="shared" si="3"/>
        <v>3912.0447399095447</v>
      </c>
      <c r="I26" s="57">
        <f t="shared" si="4"/>
        <v>3.9410447399095445</v>
      </c>
      <c r="J26" s="60">
        <f t="shared" si="5"/>
        <v>3941.0447399095447</v>
      </c>
      <c r="K26" s="78"/>
      <c r="L26" s="140"/>
      <c r="M26" s="140"/>
    </row>
    <row r="27" spans="1:13" ht="12.75">
      <c r="A27" s="32" t="s">
        <v>68</v>
      </c>
      <c r="B27" s="50">
        <v>7783064</v>
      </c>
      <c r="C27" s="36">
        <v>0</v>
      </c>
      <c r="D27" s="42">
        <f t="shared" si="0"/>
        <v>0</v>
      </c>
      <c r="E27" s="33">
        <f t="shared" si="1"/>
        <v>0</v>
      </c>
      <c r="F27" s="37">
        <f>Reference!$C$46</f>
        <v>232.75614087335555</v>
      </c>
      <c r="G27" s="43">
        <f t="shared" si="2"/>
        <v>4.655122817467115</v>
      </c>
      <c r="H27" s="33">
        <f t="shared" si="3"/>
        <v>4655.122817467115</v>
      </c>
      <c r="I27" s="57">
        <f t="shared" si="4"/>
        <v>4.655122817467115</v>
      </c>
      <c r="J27" s="60">
        <f t="shared" si="5"/>
        <v>4655.122817467115</v>
      </c>
      <c r="K27" s="78"/>
      <c r="L27" s="140"/>
      <c r="M27" s="140"/>
    </row>
    <row r="28" spans="1:13" ht="12.75">
      <c r="A28" s="32" t="s">
        <v>20</v>
      </c>
      <c r="B28" s="7">
        <v>91203</v>
      </c>
      <c r="C28" s="36">
        <v>0.011</v>
      </c>
      <c r="D28" s="42">
        <f t="shared" si="0"/>
        <v>0.011</v>
      </c>
      <c r="E28" s="33">
        <f t="shared" si="1"/>
        <v>11</v>
      </c>
      <c r="F28" s="55">
        <v>0</v>
      </c>
      <c r="G28" s="43">
        <f t="shared" si="2"/>
        <v>0</v>
      </c>
      <c r="H28" s="33">
        <f t="shared" si="3"/>
        <v>0</v>
      </c>
      <c r="I28" s="57">
        <f t="shared" si="4"/>
        <v>0.011</v>
      </c>
      <c r="J28" s="60">
        <f t="shared" si="5"/>
        <v>11</v>
      </c>
      <c r="K28" s="78"/>
      <c r="L28" s="140"/>
      <c r="M28" s="140"/>
    </row>
    <row r="29" spans="1:13" ht="12.75">
      <c r="A29" s="32" t="s">
        <v>29</v>
      </c>
      <c r="B29" s="7">
        <v>1151</v>
      </c>
      <c r="C29" s="36">
        <v>0.014</v>
      </c>
      <c r="D29" s="42">
        <f t="shared" si="0"/>
        <v>0.014</v>
      </c>
      <c r="E29" s="33">
        <f t="shared" si="1"/>
        <v>14</v>
      </c>
      <c r="F29" s="55">
        <v>0</v>
      </c>
      <c r="G29" s="43">
        <f t="shared" si="2"/>
        <v>0</v>
      </c>
      <c r="H29" s="33">
        <f t="shared" si="3"/>
        <v>0</v>
      </c>
      <c r="I29" s="57">
        <f t="shared" si="4"/>
        <v>0.014</v>
      </c>
      <c r="J29" s="60">
        <f t="shared" si="5"/>
        <v>14</v>
      </c>
      <c r="K29" s="78"/>
      <c r="L29" s="140"/>
      <c r="M29" s="140"/>
    </row>
    <row r="30" spans="1:13" ht="12.75">
      <c r="A30" s="32" t="s">
        <v>21</v>
      </c>
      <c r="B30" s="7">
        <v>115071</v>
      </c>
      <c r="C30" s="36">
        <v>2.44</v>
      </c>
      <c r="D30" s="42">
        <f t="shared" si="0"/>
        <v>2.44</v>
      </c>
      <c r="E30" s="33">
        <f t="shared" si="1"/>
        <v>2440</v>
      </c>
      <c r="F30" s="55">
        <v>0</v>
      </c>
      <c r="G30" s="43">
        <f t="shared" si="2"/>
        <v>0</v>
      </c>
      <c r="H30" s="33">
        <f t="shared" si="3"/>
        <v>0</v>
      </c>
      <c r="I30" s="57">
        <f t="shared" si="4"/>
        <v>2.44</v>
      </c>
      <c r="J30" s="60">
        <f t="shared" si="5"/>
        <v>2440</v>
      </c>
      <c r="K30" s="78"/>
      <c r="L30" s="140"/>
      <c r="M30" s="140"/>
    </row>
    <row r="31" spans="1:13" ht="12.75">
      <c r="A31" s="32" t="s">
        <v>17</v>
      </c>
      <c r="B31" s="7">
        <v>108883</v>
      </c>
      <c r="C31" s="36">
        <v>0.058</v>
      </c>
      <c r="D31" s="42">
        <f t="shared" si="0"/>
        <v>0.058</v>
      </c>
      <c r="E31" s="33">
        <f t="shared" si="1"/>
        <v>58</v>
      </c>
      <c r="F31" s="37">
        <f>Reference!$C$49</f>
        <v>17.14997171054349</v>
      </c>
      <c r="G31" s="43">
        <f t="shared" si="2"/>
        <v>0.3429994342108701</v>
      </c>
      <c r="H31" s="33">
        <f t="shared" si="3"/>
        <v>342.9994342108701</v>
      </c>
      <c r="I31" s="57">
        <f t="shared" si="4"/>
        <v>0.4009994342108701</v>
      </c>
      <c r="J31" s="60">
        <f t="shared" si="5"/>
        <v>400.9994342108701</v>
      </c>
      <c r="K31" s="78"/>
      <c r="L31" s="140"/>
      <c r="M31" s="140"/>
    </row>
    <row r="32" spans="1:13" ht="13.5" thickBot="1">
      <c r="A32" s="34" t="s">
        <v>23</v>
      </c>
      <c r="B32" s="29">
        <v>1330207</v>
      </c>
      <c r="C32" s="31">
        <v>0.029</v>
      </c>
      <c r="D32" s="44">
        <f t="shared" si="0"/>
        <v>0.029</v>
      </c>
      <c r="E32" s="35">
        <f t="shared" si="1"/>
        <v>29</v>
      </c>
      <c r="F32" s="38">
        <f>Reference!$C$50</f>
        <v>3.2632984645157865</v>
      </c>
      <c r="G32" s="44">
        <f t="shared" si="2"/>
        <v>0.06526596929031579</v>
      </c>
      <c r="H32" s="35">
        <f t="shared" si="3"/>
        <v>65.2659692903158</v>
      </c>
      <c r="I32" s="58">
        <f t="shared" si="4"/>
        <v>0.09426596929031579</v>
      </c>
      <c r="J32" s="61">
        <f t="shared" si="5"/>
        <v>94.2659692903158</v>
      </c>
      <c r="K32" s="78"/>
      <c r="L32" s="140"/>
      <c r="M32" s="140"/>
    </row>
    <row r="33" spans="1:5" ht="12.75">
      <c r="A33" s="15"/>
      <c r="B33" s="7"/>
      <c r="C33" s="8"/>
      <c r="D33" s="28"/>
      <c r="E33" s="28"/>
    </row>
    <row r="34" spans="1:11" ht="12.75">
      <c r="A34" s="16" t="s">
        <v>8</v>
      </c>
      <c r="B34" s="17"/>
      <c r="C34" s="18"/>
      <c r="D34" s="18"/>
      <c r="E34" s="18"/>
      <c r="F34" s="18"/>
      <c r="G34" s="18"/>
      <c r="H34" s="19"/>
      <c r="I34" s="19"/>
      <c r="J34" s="19"/>
      <c r="K34" s="20"/>
    </row>
    <row r="35" spans="1:11" ht="25.5" customHeight="1">
      <c r="A35" s="96" t="s">
        <v>86</v>
      </c>
      <c r="B35" s="97"/>
      <c r="C35" s="97"/>
      <c r="D35" s="97"/>
      <c r="E35" s="97"/>
      <c r="F35" s="97"/>
      <c r="G35" s="97"/>
      <c r="H35" s="97"/>
      <c r="I35" s="97"/>
      <c r="J35" s="97"/>
      <c r="K35" s="98"/>
    </row>
    <row r="36" spans="1:11" ht="25.5" customHeight="1">
      <c r="A36" s="96" t="s">
        <v>87</v>
      </c>
      <c r="B36" s="97"/>
      <c r="C36" s="97"/>
      <c r="D36" s="97"/>
      <c r="E36" s="97"/>
      <c r="F36" s="97"/>
      <c r="G36" s="97"/>
      <c r="H36" s="97"/>
      <c r="I36" s="97"/>
      <c r="J36" s="97"/>
      <c r="K36" s="98"/>
    </row>
    <row r="37" spans="1:11" ht="12.75">
      <c r="A37" s="118" t="s">
        <v>88</v>
      </c>
      <c r="B37" s="119"/>
      <c r="C37" s="119"/>
      <c r="D37" s="119"/>
      <c r="E37" s="119"/>
      <c r="F37" s="119"/>
      <c r="G37" s="119"/>
      <c r="H37" s="119"/>
      <c r="I37" s="120"/>
      <c r="J37" s="79"/>
      <c r="K37" s="79"/>
    </row>
    <row r="38" spans="1:2" ht="12.75">
      <c r="A38" s="9"/>
      <c r="B38" s="10"/>
    </row>
  </sheetData>
  <sheetProtection/>
  <mergeCells count="22">
    <mergeCell ref="A35:K35"/>
    <mergeCell ref="D7:G7"/>
    <mergeCell ref="E16:E19"/>
    <mergeCell ref="K16:K19"/>
    <mergeCell ref="F16:F19"/>
    <mergeCell ref="A37:I37"/>
    <mergeCell ref="B1:G1"/>
    <mergeCell ref="A16:A19"/>
    <mergeCell ref="B16:B19"/>
    <mergeCell ref="B2:G2"/>
    <mergeCell ref="B3:C3"/>
    <mergeCell ref="E3:F3"/>
    <mergeCell ref="L16:L19"/>
    <mergeCell ref="M16:M19"/>
    <mergeCell ref="D8:G15"/>
    <mergeCell ref="A36:K36"/>
    <mergeCell ref="G16:G19"/>
    <mergeCell ref="H16:H19"/>
    <mergeCell ref="I16:I19"/>
    <mergeCell ref="J16:J19"/>
    <mergeCell ref="C16:C19"/>
    <mergeCell ref="D16:D19"/>
  </mergeCells>
  <printOptions gridLines="1"/>
  <pageMargins left="0.75" right="0.75" top="1" bottom="1" header="0.5"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I57"/>
  <sheetViews>
    <sheetView zoomScale="145" zoomScaleNormal="145" zoomScalePageLayoutView="0" workbookViewId="0" topLeftCell="A1">
      <selection activeCell="I15" sqref="I15"/>
    </sheetView>
  </sheetViews>
  <sheetFormatPr defaultColWidth="9.140625" defaultRowHeight="12.75"/>
  <cols>
    <col min="1" max="1" width="32.140625" style="11" customWidth="1"/>
    <col min="2" max="2" width="18.28125" style="11" customWidth="1"/>
    <col min="3" max="4" width="15.140625" style="11" customWidth="1"/>
    <col min="5" max="6" width="9.140625" style="11" customWidth="1"/>
    <col min="7" max="7" width="9.57421875" style="11" customWidth="1"/>
    <col min="10" max="10" width="10.00390625" style="0" customWidth="1"/>
  </cols>
  <sheetData>
    <row r="1" spans="1:7" ht="25.5">
      <c r="A1" s="11" t="s">
        <v>18</v>
      </c>
      <c r="B1" s="11" t="s">
        <v>32</v>
      </c>
      <c r="C1" s="11" t="s">
        <v>31</v>
      </c>
      <c r="D1" s="11" t="s">
        <v>54</v>
      </c>
      <c r="E1" s="11" t="s">
        <v>30</v>
      </c>
      <c r="F1" s="46" t="s">
        <v>60</v>
      </c>
      <c r="G1" s="46" t="s">
        <v>59</v>
      </c>
    </row>
    <row r="2" spans="1:7" ht="12.75">
      <c r="A2" s="47" t="s">
        <v>63</v>
      </c>
      <c r="B2" s="47">
        <v>78784</v>
      </c>
      <c r="C2" s="49">
        <v>0.7385</v>
      </c>
      <c r="D2" s="62">
        <f aca="true" t="shared" si="0" ref="D2:D25">C2/100</f>
        <v>0.007385</v>
      </c>
      <c r="E2" s="68">
        <v>72.17</v>
      </c>
      <c r="F2" s="62">
        <f aca="true" t="shared" si="1" ref="F2:F25">E2*D2</f>
        <v>0.53297545</v>
      </c>
      <c r="G2" s="39">
        <f aca="true" t="shared" si="2" ref="G2:G25">(F2/453.6)*$D$33</f>
        <v>455.0077351901411</v>
      </c>
    </row>
    <row r="3" spans="1:7" ht="12.75">
      <c r="A3" s="47" t="s">
        <v>42</v>
      </c>
      <c r="B3" s="47">
        <v>107835</v>
      </c>
      <c r="C3" s="49">
        <v>0.1512</v>
      </c>
      <c r="D3" s="62">
        <f t="shared" si="0"/>
        <v>0.001512</v>
      </c>
      <c r="E3" s="68">
        <v>86.2</v>
      </c>
      <c r="F3" s="62">
        <f t="shared" si="1"/>
        <v>0.13033440000000002</v>
      </c>
      <c r="G3" s="39">
        <f t="shared" si="2"/>
        <v>111.26808966785605</v>
      </c>
    </row>
    <row r="4" spans="1:7" ht="12.75">
      <c r="A4" s="47" t="s">
        <v>43</v>
      </c>
      <c r="B4" s="47">
        <v>96140</v>
      </c>
      <c r="C4" s="49">
        <v>0.1345</v>
      </c>
      <c r="D4" s="62">
        <f t="shared" si="0"/>
        <v>0.001345</v>
      </c>
      <c r="E4" s="68">
        <v>86.2</v>
      </c>
      <c r="F4" s="62">
        <f t="shared" si="1"/>
        <v>0.11593900000000001</v>
      </c>
      <c r="G4" s="39">
        <f t="shared" si="2"/>
        <v>98.97855860004391</v>
      </c>
    </row>
    <row r="5" spans="1:7" ht="12.75">
      <c r="A5" s="11" t="s">
        <v>45</v>
      </c>
      <c r="B5" s="11">
        <v>71432</v>
      </c>
      <c r="C5" s="49">
        <v>0.2107</v>
      </c>
      <c r="D5" s="62">
        <f t="shared" si="0"/>
        <v>0.002107</v>
      </c>
      <c r="E5" s="68">
        <v>78.12</v>
      </c>
      <c r="F5" s="62">
        <f t="shared" si="1"/>
        <v>0.16459884</v>
      </c>
      <c r="G5" s="39">
        <f t="shared" si="2"/>
        <v>140.52006598676243</v>
      </c>
    </row>
    <row r="6" spans="1:7" ht="12.75">
      <c r="A6" s="47" t="s">
        <v>35</v>
      </c>
      <c r="B6" s="47">
        <v>124389</v>
      </c>
      <c r="C6" s="49">
        <v>58.6264</v>
      </c>
      <c r="D6" s="62">
        <f t="shared" si="0"/>
        <v>0.586264</v>
      </c>
      <c r="E6" s="68">
        <v>44.01</v>
      </c>
      <c r="F6" s="62">
        <f t="shared" si="1"/>
        <v>25.80147864</v>
      </c>
      <c r="G6" s="39">
        <f t="shared" si="2"/>
        <v>22027.041509216233</v>
      </c>
    </row>
    <row r="7" spans="1:7" ht="12.75">
      <c r="A7" s="48" t="s">
        <v>46</v>
      </c>
      <c r="B7" s="48">
        <v>110827</v>
      </c>
      <c r="C7" s="49">
        <v>0.1698</v>
      </c>
      <c r="D7" s="62">
        <f t="shared" si="0"/>
        <v>0.001698</v>
      </c>
      <c r="E7" s="68">
        <v>84.18</v>
      </c>
      <c r="F7" s="62">
        <f t="shared" si="1"/>
        <v>0.14293764</v>
      </c>
      <c r="G7" s="39">
        <f t="shared" si="2"/>
        <v>122.02763157256815</v>
      </c>
    </row>
    <row r="8" spans="1:7" ht="12.75">
      <c r="A8" s="47" t="s">
        <v>41</v>
      </c>
      <c r="B8" s="47">
        <v>287923</v>
      </c>
      <c r="C8" s="49">
        <v>0.0105</v>
      </c>
      <c r="D8" s="62">
        <f t="shared" si="0"/>
        <v>0.000105</v>
      </c>
      <c r="E8" s="68">
        <v>70.15</v>
      </c>
      <c r="F8" s="62">
        <f t="shared" si="1"/>
        <v>0.007365750000000001</v>
      </c>
      <c r="G8" s="39">
        <f t="shared" si="2"/>
        <v>6.28823189787969</v>
      </c>
    </row>
    <row r="9" spans="1:7" ht="12.75">
      <c r="A9" s="47" t="s">
        <v>36</v>
      </c>
      <c r="B9" s="47">
        <v>74840</v>
      </c>
      <c r="C9" s="49">
        <v>8.7006</v>
      </c>
      <c r="D9" s="62">
        <f t="shared" si="0"/>
        <v>0.087006</v>
      </c>
      <c r="E9" s="68">
        <v>30.08</v>
      </c>
      <c r="F9" s="62">
        <f t="shared" si="1"/>
        <v>2.6171404799999998</v>
      </c>
      <c r="G9" s="39">
        <f t="shared" si="2"/>
        <v>2234.2852048424343</v>
      </c>
    </row>
    <row r="10" spans="1:7" ht="12.75">
      <c r="A10" s="11" t="s">
        <v>51</v>
      </c>
      <c r="B10" s="11">
        <v>100414</v>
      </c>
      <c r="C10" s="49">
        <v>0.0029</v>
      </c>
      <c r="D10" s="62">
        <f t="shared" si="0"/>
        <v>2.8999999999999997E-05</v>
      </c>
      <c r="E10" s="68">
        <v>106.18</v>
      </c>
      <c r="F10" s="62">
        <f t="shared" si="1"/>
        <v>0.0030792199999999997</v>
      </c>
      <c r="G10" s="39">
        <f t="shared" si="2"/>
        <v>2.6287682075266057</v>
      </c>
    </row>
    <row r="11" spans="1:7" ht="12.75">
      <c r="A11" s="11" t="s">
        <v>66</v>
      </c>
      <c r="B11" s="11">
        <v>110543</v>
      </c>
      <c r="C11" s="49">
        <v>0.2658</v>
      </c>
      <c r="D11" s="62">
        <f t="shared" si="0"/>
        <v>0.0026579999999999998</v>
      </c>
      <c r="E11" s="68">
        <v>86.2</v>
      </c>
      <c r="F11" s="62">
        <f t="shared" si="1"/>
        <v>0.22911959999999998</v>
      </c>
      <c r="G11" s="39">
        <f t="shared" si="2"/>
        <v>195.60223699547706</v>
      </c>
    </row>
    <row r="12" spans="1:7" ht="12.75">
      <c r="A12" s="11" t="s">
        <v>19</v>
      </c>
      <c r="B12" s="11">
        <v>7783064</v>
      </c>
      <c r="C12" s="49">
        <v>0.8</v>
      </c>
      <c r="D12" s="62">
        <f t="shared" si="0"/>
        <v>0.008</v>
      </c>
      <c r="E12" s="68">
        <v>34.08</v>
      </c>
      <c r="F12" s="62">
        <f t="shared" si="1"/>
        <v>0.27264</v>
      </c>
      <c r="G12" s="39">
        <f t="shared" si="2"/>
        <v>232.75614087335555</v>
      </c>
    </row>
    <row r="13" spans="1:7" ht="12.75">
      <c r="A13" s="47" t="s">
        <v>38</v>
      </c>
      <c r="B13" s="47">
        <v>75285</v>
      </c>
      <c r="C13" s="49">
        <v>0.9798</v>
      </c>
      <c r="D13" s="62">
        <f t="shared" si="0"/>
        <v>0.009798</v>
      </c>
      <c r="E13" s="68">
        <v>58.14</v>
      </c>
      <c r="F13" s="62">
        <f t="shared" si="1"/>
        <v>0.56965572</v>
      </c>
      <c r="G13" s="39">
        <f t="shared" si="2"/>
        <v>486.32213546666947</v>
      </c>
    </row>
    <row r="14" spans="1:7" ht="12.75">
      <c r="A14" s="47" t="s">
        <v>34</v>
      </c>
      <c r="B14" s="47">
        <v>74828</v>
      </c>
      <c r="C14" s="49">
        <v>17.675</v>
      </c>
      <c r="D14" s="62">
        <f t="shared" si="0"/>
        <v>0.17675000000000002</v>
      </c>
      <c r="E14" s="68">
        <v>16.05</v>
      </c>
      <c r="F14" s="62">
        <f t="shared" si="1"/>
        <v>2.8368375000000006</v>
      </c>
      <c r="G14" s="39">
        <f t="shared" si="2"/>
        <v>2421.8432687236573</v>
      </c>
    </row>
    <row r="15" spans="1:7" ht="12.75">
      <c r="A15" s="47" t="s">
        <v>48</v>
      </c>
      <c r="B15" s="47">
        <v>108872</v>
      </c>
      <c r="C15" s="49">
        <v>0.0517</v>
      </c>
      <c r="D15" s="62">
        <f t="shared" si="0"/>
        <v>0.000517</v>
      </c>
      <c r="E15" s="68">
        <v>98.21</v>
      </c>
      <c r="F15" s="62">
        <f t="shared" si="1"/>
        <v>0.05077457</v>
      </c>
      <c r="G15" s="39">
        <f t="shared" si="2"/>
        <v>43.346878549383995</v>
      </c>
    </row>
    <row r="16" spans="1:7" ht="12.75">
      <c r="A16" s="47" t="s">
        <v>44</v>
      </c>
      <c r="B16" s="47">
        <v>96377</v>
      </c>
      <c r="C16" s="49">
        <v>0.1375</v>
      </c>
      <c r="D16" s="62">
        <f t="shared" si="0"/>
        <v>0.0013750000000000001</v>
      </c>
      <c r="E16" s="68">
        <v>84.18</v>
      </c>
      <c r="F16" s="62">
        <f t="shared" si="1"/>
        <v>0.11574750000000002</v>
      </c>
      <c r="G16" s="39">
        <f t="shared" si="2"/>
        <v>98.81507268096657</v>
      </c>
    </row>
    <row r="17" spans="1:7" ht="12.75">
      <c r="A17" s="47" t="s">
        <v>39</v>
      </c>
      <c r="B17" s="47">
        <v>106978</v>
      </c>
      <c r="C17" s="49">
        <v>2.3841</v>
      </c>
      <c r="D17" s="62">
        <f t="shared" si="0"/>
        <v>0.023841</v>
      </c>
      <c r="E17" s="68">
        <v>58.14</v>
      </c>
      <c r="F17" s="62">
        <f t="shared" si="1"/>
        <v>1.3861157400000002</v>
      </c>
      <c r="G17" s="39">
        <f t="shared" si="2"/>
        <v>1183.3441550990885</v>
      </c>
    </row>
    <row r="18" spans="1:7" ht="12.75">
      <c r="A18" s="47" t="s">
        <v>47</v>
      </c>
      <c r="B18" s="47">
        <v>142825</v>
      </c>
      <c r="C18" s="49">
        <v>0.0976</v>
      </c>
      <c r="D18" s="62">
        <f t="shared" si="0"/>
        <v>0.0009760000000000001</v>
      </c>
      <c r="E18" s="68">
        <v>100.23</v>
      </c>
      <c r="F18" s="62">
        <f t="shared" si="1"/>
        <v>0.09782448000000002</v>
      </c>
      <c r="G18" s="39">
        <f t="shared" si="2"/>
        <v>83.51396877839919</v>
      </c>
    </row>
    <row r="19" spans="1:7" ht="12.75">
      <c r="A19" s="47" t="s">
        <v>33</v>
      </c>
      <c r="B19" s="47">
        <v>7727379</v>
      </c>
      <c r="C19" s="49">
        <v>1.5972</v>
      </c>
      <c r="D19" s="62">
        <f t="shared" si="0"/>
        <v>0.015972</v>
      </c>
      <c r="E19" s="68">
        <v>28.02</v>
      </c>
      <c r="F19" s="62">
        <f t="shared" si="1"/>
        <v>0.44753544</v>
      </c>
      <c r="G19" s="39">
        <f t="shared" si="2"/>
        <v>382.0665416610151</v>
      </c>
    </row>
    <row r="20" spans="1:7" ht="12.75">
      <c r="A20" s="47" t="s">
        <v>50</v>
      </c>
      <c r="B20" s="47">
        <v>111659</v>
      </c>
      <c r="C20" s="49">
        <v>0.0053</v>
      </c>
      <c r="D20" s="62">
        <f t="shared" si="0"/>
        <v>5.3E-05</v>
      </c>
      <c r="E20" s="68">
        <v>114.26</v>
      </c>
      <c r="F20" s="62">
        <f t="shared" si="1"/>
        <v>0.00605578</v>
      </c>
      <c r="G20" s="39">
        <f t="shared" si="2"/>
        <v>5.169894303029817</v>
      </c>
    </row>
    <row r="21" spans="1:7" ht="12.75">
      <c r="A21" s="47" t="s">
        <v>40</v>
      </c>
      <c r="B21" s="47">
        <v>109660</v>
      </c>
      <c r="C21" s="49">
        <v>0.7715</v>
      </c>
      <c r="D21" s="62">
        <f t="shared" si="0"/>
        <v>0.007715</v>
      </c>
      <c r="E21" s="68">
        <v>72.17</v>
      </c>
      <c r="F21" s="62">
        <f t="shared" si="1"/>
        <v>0.55679155</v>
      </c>
      <c r="G21" s="39">
        <f t="shared" si="2"/>
        <v>475.3398343929504</v>
      </c>
    </row>
    <row r="22" spans="1:7" ht="12.75">
      <c r="A22" s="11" t="s">
        <v>52</v>
      </c>
      <c r="B22" s="11">
        <v>95476</v>
      </c>
      <c r="C22" s="49">
        <v>0.0007</v>
      </c>
      <c r="D22" s="62">
        <f t="shared" si="0"/>
        <v>7E-06</v>
      </c>
      <c r="E22" s="68">
        <v>106.18</v>
      </c>
      <c r="F22" s="62">
        <f t="shared" si="1"/>
        <v>0.00074326</v>
      </c>
      <c r="G22" s="39">
        <f t="shared" si="2"/>
        <v>0.6345302569891808</v>
      </c>
    </row>
    <row r="23" spans="1:7" ht="12.75">
      <c r="A23" s="11" t="s">
        <v>64</v>
      </c>
      <c r="B23" s="11">
        <v>108383</v>
      </c>
      <c r="C23" s="49">
        <v>0.0029</v>
      </c>
      <c r="D23" s="62">
        <f t="shared" si="0"/>
        <v>2.8999999999999997E-05</v>
      </c>
      <c r="E23" s="68">
        <v>106.18</v>
      </c>
      <c r="F23" s="62">
        <f t="shared" si="1"/>
        <v>0.0030792199999999997</v>
      </c>
      <c r="G23" s="39">
        <f t="shared" si="2"/>
        <v>2.6287682075266057</v>
      </c>
    </row>
    <row r="24" spans="1:7" ht="12.75">
      <c r="A24" s="47" t="s">
        <v>37</v>
      </c>
      <c r="B24" s="47">
        <v>74986</v>
      </c>
      <c r="C24" s="49">
        <v>6.464</v>
      </c>
      <c r="D24" s="62">
        <f t="shared" si="0"/>
        <v>0.06464</v>
      </c>
      <c r="E24" s="68">
        <v>44.11</v>
      </c>
      <c r="F24" s="62">
        <f t="shared" si="1"/>
        <v>2.8512704</v>
      </c>
      <c r="G24" s="39">
        <f t="shared" si="2"/>
        <v>2434.1648140053876</v>
      </c>
    </row>
    <row r="25" spans="1:7" ht="12.75">
      <c r="A25" s="11" t="s">
        <v>49</v>
      </c>
      <c r="B25" s="11">
        <v>108883</v>
      </c>
      <c r="C25" s="49">
        <v>0.0218</v>
      </c>
      <c r="D25" s="62">
        <f t="shared" si="0"/>
        <v>0.00021799999999999999</v>
      </c>
      <c r="E25" s="68">
        <v>92.15</v>
      </c>
      <c r="F25" s="62">
        <f t="shared" si="1"/>
        <v>0.0200887</v>
      </c>
      <c r="G25" s="39">
        <f t="shared" si="2"/>
        <v>17.14997171054349</v>
      </c>
    </row>
    <row r="26" spans="1:7" ht="12.75">
      <c r="A26" s="11" t="s">
        <v>56</v>
      </c>
      <c r="C26" s="11">
        <f>SUM(C2:C25)</f>
        <v>99.99999999999999</v>
      </c>
      <c r="D26" s="11">
        <f>SUM(D2:D25)</f>
        <v>1</v>
      </c>
      <c r="F26" s="69">
        <f>SUM(F2:F25)</f>
        <v>38.96012887999999</v>
      </c>
      <c r="G26" s="70">
        <f>SUM(G2:G25)</f>
        <v>33260.7440068859</v>
      </c>
    </row>
    <row r="27" spans="1:9" ht="12.75" customHeight="1">
      <c r="A27" s="135" t="s">
        <v>88</v>
      </c>
      <c r="B27" s="136"/>
      <c r="C27" s="136"/>
      <c r="D27" s="136"/>
      <c r="E27" s="136"/>
      <c r="F27" s="136"/>
      <c r="G27" s="136"/>
      <c r="H27" s="136"/>
      <c r="I27" s="137"/>
    </row>
    <row r="28" spans="1:9" ht="13.5" thickBot="1">
      <c r="A28" s="131" t="s">
        <v>89</v>
      </c>
      <c r="B28" s="132"/>
      <c r="C28" s="132"/>
      <c r="D28" s="132"/>
      <c r="E28" s="132"/>
      <c r="F28" s="133"/>
      <c r="G28" s="133"/>
      <c r="H28" s="133"/>
      <c r="I28" s="134"/>
    </row>
    <row r="29" spans="2:9" ht="51" customHeight="1">
      <c r="B29" s="11" t="s">
        <v>55</v>
      </c>
      <c r="C29" s="46" t="s">
        <v>57</v>
      </c>
      <c r="D29" s="11" t="s">
        <v>58</v>
      </c>
      <c r="E29" s="11" t="s">
        <v>59</v>
      </c>
      <c r="F29" s="122" t="s">
        <v>77</v>
      </c>
      <c r="G29" s="123"/>
      <c r="H29" s="123"/>
      <c r="I29" s="124"/>
    </row>
    <row r="30" spans="1:9" ht="12.75">
      <c r="A30" s="47" t="s">
        <v>53</v>
      </c>
      <c r="B30" s="11">
        <v>101</v>
      </c>
      <c r="C30" s="71">
        <f>'NG WG Flare Combustion'!$B$9</f>
        <v>0.45</v>
      </c>
      <c r="D30" s="62">
        <f>C30*1184</f>
        <v>532.8000000000001</v>
      </c>
      <c r="E30" s="62">
        <f>(D30*1000000)/(35.315*453.6)</f>
        <v>33260.74400688588</v>
      </c>
      <c r="F30" s="125"/>
      <c r="G30" s="126"/>
      <c r="H30" s="126"/>
      <c r="I30" s="127"/>
    </row>
    <row r="31" spans="6:9" ht="12.75">
      <c r="F31" s="125"/>
      <c r="G31" s="126"/>
      <c r="H31" s="126"/>
      <c r="I31" s="127"/>
    </row>
    <row r="32" spans="3:9" ht="12.75">
      <c r="C32" s="46" t="s">
        <v>62</v>
      </c>
      <c r="D32" s="46" t="s">
        <v>61</v>
      </c>
      <c r="F32" s="125"/>
      <c r="G32" s="126"/>
      <c r="H32" s="126"/>
      <c r="I32" s="127"/>
    </row>
    <row r="33" spans="3:9" ht="12.75">
      <c r="C33" s="42">
        <f>F26/453.6</f>
        <v>0.08589093668430332</v>
      </c>
      <c r="D33" s="42">
        <f>E30/C33</f>
        <v>387243.9315586637</v>
      </c>
      <c r="F33" s="125"/>
      <c r="G33" s="126"/>
      <c r="H33" s="126"/>
      <c r="I33" s="127"/>
    </row>
    <row r="34" spans="6:9" ht="12.75">
      <c r="F34" s="125"/>
      <c r="G34" s="126"/>
      <c r="H34" s="126"/>
      <c r="I34" s="127"/>
    </row>
    <row r="35" spans="6:9" ht="12.75">
      <c r="F35" s="125"/>
      <c r="G35" s="126"/>
      <c r="H35" s="126"/>
      <c r="I35" s="127"/>
    </row>
    <row r="36" spans="6:9" ht="12.75">
      <c r="F36" s="125"/>
      <c r="G36" s="126"/>
      <c r="H36" s="126"/>
      <c r="I36" s="127"/>
    </row>
    <row r="37" spans="6:9" ht="12.75">
      <c r="F37" s="125"/>
      <c r="G37" s="126"/>
      <c r="H37" s="126"/>
      <c r="I37" s="127"/>
    </row>
    <row r="38" spans="6:9" ht="12.75">
      <c r="F38" s="125"/>
      <c r="G38" s="126"/>
      <c r="H38" s="126"/>
      <c r="I38" s="127"/>
    </row>
    <row r="39" spans="6:9" ht="12.75">
      <c r="F39" s="125"/>
      <c r="G39" s="126"/>
      <c r="H39" s="126"/>
      <c r="I39" s="127"/>
    </row>
    <row r="40" spans="6:9" ht="12.75">
      <c r="F40" s="125"/>
      <c r="G40" s="126"/>
      <c r="H40" s="126"/>
      <c r="I40" s="127"/>
    </row>
    <row r="41" spans="1:9" ht="12.75">
      <c r="A41" s="50" t="s">
        <v>18</v>
      </c>
      <c r="B41" s="50" t="s">
        <v>32</v>
      </c>
      <c r="C41" s="46" t="s">
        <v>65</v>
      </c>
      <c r="F41" s="125"/>
      <c r="G41" s="126"/>
      <c r="H41" s="126"/>
      <c r="I41" s="127"/>
    </row>
    <row r="42" spans="1:9" ht="12.75">
      <c r="A42" s="50" t="s">
        <v>45</v>
      </c>
      <c r="B42" s="50">
        <v>71432</v>
      </c>
      <c r="C42" s="42">
        <f>G5</f>
        <v>140.52006598676243</v>
      </c>
      <c r="F42" s="125"/>
      <c r="G42" s="126"/>
      <c r="H42" s="126"/>
      <c r="I42" s="127"/>
    </row>
    <row r="43" spans="1:9" ht="12.75">
      <c r="A43" s="51" t="s">
        <v>46</v>
      </c>
      <c r="B43" s="51">
        <v>110827</v>
      </c>
      <c r="C43" s="42">
        <f>G7</f>
        <v>122.02763157256815</v>
      </c>
      <c r="F43" s="125"/>
      <c r="G43" s="126"/>
      <c r="H43" s="126"/>
      <c r="I43" s="127"/>
    </row>
    <row r="44" spans="1:9" ht="12.75">
      <c r="A44" s="50" t="s">
        <v>51</v>
      </c>
      <c r="B44" s="50">
        <v>100414</v>
      </c>
      <c r="C44" s="42">
        <f>G10</f>
        <v>2.6287682075266057</v>
      </c>
      <c r="F44" s="125"/>
      <c r="G44" s="126"/>
      <c r="H44" s="126"/>
      <c r="I44" s="127"/>
    </row>
    <row r="45" spans="1:9" ht="12.75">
      <c r="A45" s="50" t="s">
        <v>66</v>
      </c>
      <c r="B45" s="50">
        <v>110543</v>
      </c>
      <c r="C45" s="42">
        <f>G11</f>
        <v>195.60223699547706</v>
      </c>
      <c r="F45" s="125"/>
      <c r="G45" s="126"/>
      <c r="H45" s="126"/>
      <c r="I45" s="127"/>
    </row>
    <row r="46" spans="1:9" ht="12.75">
      <c r="A46" s="50" t="s">
        <v>19</v>
      </c>
      <c r="B46" s="50">
        <v>7783064</v>
      </c>
      <c r="C46" s="42">
        <f>G12</f>
        <v>232.75614087335555</v>
      </c>
      <c r="F46" s="125"/>
      <c r="G46" s="126"/>
      <c r="H46" s="126"/>
      <c r="I46" s="127"/>
    </row>
    <row r="47" spans="1:9" ht="12.75">
      <c r="A47" s="50" t="s">
        <v>52</v>
      </c>
      <c r="B47" s="50">
        <v>95476</v>
      </c>
      <c r="C47" s="42">
        <f>G22</f>
        <v>0.6345302569891808</v>
      </c>
      <c r="F47" s="125"/>
      <c r="G47" s="126"/>
      <c r="H47" s="126"/>
      <c r="I47" s="127"/>
    </row>
    <row r="48" spans="1:9" ht="12.75">
      <c r="A48" s="50" t="s">
        <v>64</v>
      </c>
      <c r="B48" s="50">
        <v>108383</v>
      </c>
      <c r="C48" s="42">
        <f>G23</f>
        <v>2.6287682075266057</v>
      </c>
      <c r="F48" s="125"/>
      <c r="G48" s="126"/>
      <c r="H48" s="126"/>
      <c r="I48" s="127"/>
    </row>
    <row r="49" spans="1:9" ht="12.75">
      <c r="A49" s="50" t="s">
        <v>49</v>
      </c>
      <c r="B49" s="50">
        <v>108883</v>
      </c>
      <c r="C49" s="42">
        <f>G25</f>
        <v>17.14997171054349</v>
      </c>
      <c r="F49" s="125"/>
      <c r="G49" s="126"/>
      <c r="H49" s="126"/>
      <c r="I49" s="127"/>
    </row>
    <row r="50" spans="1:9" ht="12.75">
      <c r="A50" s="50" t="s">
        <v>67</v>
      </c>
      <c r="B50" s="50">
        <v>1330207</v>
      </c>
      <c r="C50" s="63">
        <f>C47+C48</f>
        <v>3.2632984645157865</v>
      </c>
      <c r="F50" s="125"/>
      <c r="G50" s="126"/>
      <c r="H50" s="126"/>
      <c r="I50" s="127"/>
    </row>
    <row r="51" spans="6:9" ht="12.75">
      <c r="F51" s="125"/>
      <c r="G51" s="126"/>
      <c r="H51" s="126"/>
      <c r="I51" s="127"/>
    </row>
    <row r="52" spans="1:9" ht="18" customHeight="1" thickBot="1">
      <c r="A52" s="121" t="s">
        <v>76</v>
      </c>
      <c r="B52" s="121"/>
      <c r="C52" s="121"/>
      <c r="F52" s="128"/>
      <c r="G52" s="129"/>
      <c r="H52" s="129"/>
      <c r="I52" s="130"/>
    </row>
    <row r="53" spans="1:9" ht="12.75">
      <c r="A53" s="121"/>
      <c r="B53" s="121"/>
      <c r="C53" s="121"/>
      <c r="F53" s="74"/>
      <c r="G53" s="74"/>
      <c r="H53" s="74"/>
      <c r="I53" s="74"/>
    </row>
    <row r="54" spans="1:9" ht="12.75">
      <c r="A54" s="121"/>
      <c r="B54" s="121"/>
      <c r="C54" s="121"/>
      <c r="F54" s="74"/>
      <c r="G54" s="74"/>
      <c r="H54" s="74"/>
      <c r="I54" s="74"/>
    </row>
    <row r="55" spans="1:9" ht="12.75">
      <c r="A55" s="121"/>
      <c r="B55" s="121"/>
      <c r="C55" s="121"/>
      <c r="F55" s="74"/>
      <c r="G55" s="74"/>
      <c r="H55" s="74"/>
      <c r="I55" s="74"/>
    </row>
    <row r="56" spans="6:9" ht="12.75">
      <c r="F56" s="74"/>
      <c r="G56" s="74"/>
      <c r="H56" s="74"/>
      <c r="I56" s="74"/>
    </row>
    <row r="57" spans="6:9" ht="12.75">
      <c r="F57" s="72"/>
      <c r="G57" s="72"/>
      <c r="H57" s="73"/>
      <c r="I57" s="73"/>
    </row>
  </sheetData>
  <sheetProtection/>
  <mergeCells count="4">
    <mergeCell ref="A52:C55"/>
    <mergeCell ref="F29:I52"/>
    <mergeCell ref="A28:I28"/>
    <mergeCell ref="A27:I27"/>
  </mergeCells>
  <printOptions/>
  <pageMargins left="0.75" right="0.75" top="1" bottom="1" header="0.5" footer="0.5"/>
  <pageSetup horizontalDpi="600" verticalDpi="600" orientation="portrait" r:id="rId3"/>
  <legacyDrawing r:id="rId2"/>
  <oleObjects>
    <oleObject progId="Equation.3" shapeId="184506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2018-08-07T20:42:31Z</dcterms:modified>
  <cp:category/>
  <cp:version/>
  <cp:contentType/>
  <cp:contentStatus/>
</cp:coreProperties>
</file>